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<sst xmlns="http://schemas.openxmlformats.org/spreadsheetml/2006/main" count="86" uniqueCount="68">
  <si>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</si>
  <si>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</si>
  <si>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</si>
  <si>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</si>
  <si>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</si>
  <si>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</si>
  <si>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</si>
  <si>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</si>
  <si>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</si>
  <si>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</si>
  <si>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</si>
  <si>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</si>
  <si>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</si>
  <si>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</si>
  <si>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</si>
  <si>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</si>
  <si>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</si>
  <si>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</si>
  <si>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</si>
  <si>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</si>
  <si>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</si>
  <si>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</si>
  <si>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</si>
  <si>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</si>
  <si>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</si>
  <si>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</si>
  <si>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</si>
  <si>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</si>
  <si>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</si>
  <si>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</si>
  <si>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</si>
  <si>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</si>
  <si>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</si>
  <si>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</si>
  <si>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</si>
  <si>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</si>
  <si>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</si>
  <si>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</si>
  <si>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</si>
  <si>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</si>
  <si>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</si>
  <si>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</si>
  <si>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</si>
  <si>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</si>
  <si>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</si>
  <si>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</si>
  <si>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</si>
  <si>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</si>
  <si>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</si>
  <si>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</si>
  <si>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</si>
  <si>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</si>
  <si>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</si>
  <si>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</si>
  <si>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</si>
  <si>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</si>
  <si>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</si>
  <si>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</si>
  <si>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</si>
  <si>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</si>
  <si>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</si>
  <si>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</si>
  <si>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</si>
  <si>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</si>
  <si>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</si>
  <si>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</si>
  <si>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муниципального района Сергиевский № 65</t>
  </si>
  <si>
    <t>от "10" сентября 2015г.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</si>
</sst>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6" fillId="13" borderId="10" xfId="0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16" fillId="1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9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64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66</v>
      </c>
      <c r="H3" s="64"/>
      <c r="I3" s="64"/>
      <c r="J3" s="64"/>
      <c r="K3" s="64"/>
    </row>
    <row r="4" spans="6:11" ht="15.75">
      <c r="F4" s="34"/>
      <c r="G4" s="64" t="s">
        <v>67</v>
      </c>
      <c r="H4" s="64"/>
      <c r="I4" s="64"/>
      <c r="J4" s="64"/>
      <c r="K4" s="64"/>
    </row>
    <row r="6" spans="2:10" ht="18.75">
      <c r="B6" s="65" t="s">
        <v>65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1" t="s">
        <v>49</v>
      </c>
      <c r="J10" s="72" t="s">
        <v>50</v>
      </c>
      <c r="K10" s="72" t="s">
        <v>51</v>
      </c>
    </row>
    <row r="11" spans="1:11" ht="51.75" customHeight="1">
      <c r="A11" s="43" t="s">
        <v>52</v>
      </c>
      <c r="B11" s="43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3" t="s">
        <v>58</v>
      </c>
      <c r="J11" s="73"/>
      <c r="K11" s="73"/>
    </row>
    <row r="12" spans="1:11" ht="41.25" customHeight="1">
      <c r="A12" s="44"/>
      <c r="B12" s="45"/>
      <c r="C12" s="74"/>
      <c r="D12" s="74"/>
      <c r="E12" s="74"/>
      <c r="F12" s="74"/>
      <c r="G12" s="71"/>
      <c r="H12" s="74"/>
      <c r="I12" s="44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49">
        <f>'[2]2015 доходы'!$BE$38</f>
        <v>9762.66161</v>
      </c>
      <c r="D14" s="28">
        <v>32620.60925</v>
      </c>
      <c r="E14" s="28">
        <v>5246.159</v>
      </c>
      <c r="F14" s="49">
        <f>SUM(C14:E14)</f>
        <v>47629.429860000004</v>
      </c>
      <c r="G14" s="49">
        <f>51066.65581+349</f>
        <v>51415.65581</v>
      </c>
      <c r="H14" s="49">
        <f>F14-G14</f>
        <v>-3786.2259499999927</v>
      </c>
      <c r="I14" s="49">
        <f>J14+H14</f>
        <v>0.45087500000772707</v>
      </c>
      <c r="J14" s="49">
        <f>(D14+E14)*0.1</f>
        <v>3786.6768250000005</v>
      </c>
      <c r="K14" s="47">
        <f>IF(F14-G14&gt;0,0,IF(F14-G14&lt;0,-(J14+H14)))</f>
        <v>-0.45087500000772707</v>
      </c>
    </row>
    <row r="15" spans="1:11" s="1" customFormat="1" ht="18.75" customHeight="1">
      <c r="A15" s="38">
        <v>2</v>
      </c>
      <c r="B15" s="26" t="s">
        <v>21</v>
      </c>
      <c r="C15" s="49">
        <f>'[2]2015 доходы'!$L$38</f>
        <v>1024.75623</v>
      </c>
      <c r="D15" s="28">
        <v>993.7836</v>
      </c>
      <c r="E15" s="28">
        <v>33.536</v>
      </c>
      <c r="F15" s="49">
        <f aca="true" t="shared" si="0" ref="F15:F30">SUM(C15:E15)</f>
        <v>2052.0758299999998</v>
      </c>
      <c r="G15" s="49">
        <f>2930.50003+173</f>
        <v>3103.50003</v>
      </c>
      <c r="H15" s="49">
        <f aca="true" t="shared" si="1" ref="H15:H30">F15-G15</f>
        <v>-1051.4242000000004</v>
      </c>
      <c r="I15" s="49">
        <f>J15+H15</f>
        <v>-1000.0582200000003</v>
      </c>
      <c r="J15" s="49">
        <f>(D15+E15)*0.05</f>
        <v>51.36598000000001</v>
      </c>
      <c r="K15" s="47">
        <f aca="true" t="shared" si="2" ref="K15:K30">IF(F15-G15&gt;0,0,IF(F15-G15&lt;0,-(J15+H15)))</f>
        <v>1000.0582200000003</v>
      </c>
    </row>
    <row r="16" spans="1:11" s="1" customFormat="1" ht="18.75" customHeight="1">
      <c r="A16" s="38">
        <v>3</v>
      </c>
      <c r="B16" s="26" t="s">
        <v>22</v>
      </c>
      <c r="C16" s="49">
        <f>'[2]2015 доходы'!$O$38</f>
        <v>552.91002</v>
      </c>
      <c r="D16" s="28">
        <v>1900.27421</v>
      </c>
      <c r="E16" s="28">
        <v>84.44774</v>
      </c>
      <c r="F16" s="49">
        <f t="shared" si="0"/>
        <v>2537.63197</v>
      </c>
      <c r="G16" s="49">
        <f>2748.55863+88</f>
        <v>2836.55863</v>
      </c>
      <c r="H16" s="49">
        <f t="shared" si="1"/>
        <v>-298.9266600000001</v>
      </c>
      <c r="I16" s="49">
        <f aca="true" t="shared" si="3" ref="I16:I30">J16+H16</f>
        <v>-100.45446500000006</v>
      </c>
      <c r="J16" s="49">
        <f>(D16+E16)*0.1</f>
        <v>198.47219500000003</v>
      </c>
      <c r="K16" s="47">
        <f t="shared" si="2"/>
        <v>100.45446500000006</v>
      </c>
    </row>
    <row r="17" spans="1:11" s="1" customFormat="1" ht="18.75" customHeight="1">
      <c r="A17" s="38">
        <v>4</v>
      </c>
      <c r="B17" s="26" t="s">
        <v>23</v>
      </c>
      <c r="C17" s="49">
        <f>'[2]2015 доходы'!$R$38</f>
        <v>1724.4712800000002</v>
      </c>
      <c r="D17" s="28">
        <v>3039.75624</v>
      </c>
      <c r="E17" s="28">
        <v>214.36803</v>
      </c>
      <c r="F17" s="49">
        <f t="shared" si="0"/>
        <v>4978.59555</v>
      </c>
      <c r="G17" s="49">
        <f>5117.16895+187</f>
        <v>5304.16895</v>
      </c>
      <c r="H17" s="49">
        <f t="shared" si="1"/>
        <v>-325.5734000000002</v>
      </c>
      <c r="I17" s="49">
        <f t="shared" si="3"/>
        <v>-0.16097300000018322</v>
      </c>
      <c r="J17" s="49">
        <f>(D17+E17)*0.1</f>
        <v>325.41242700000004</v>
      </c>
      <c r="K17" s="47">
        <f t="shared" si="2"/>
        <v>0.16097300000018322</v>
      </c>
    </row>
    <row r="18" spans="1:11" s="1" customFormat="1" ht="18.75" customHeight="1">
      <c r="A18" s="38">
        <v>5</v>
      </c>
      <c r="B18" s="26" t="s">
        <v>24</v>
      </c>
      <c r="C18" s="49">
        <f>'[2]2015 доходы'!$U$38</f>
        <v>2770.6511</v>
      </c>
      <c r="D18" s="28">
        <v>1764.36965</v>
      </c>
      <c r="E18" s="28">
        <v>127.93572</v>
      </c>
      <c r="F18" s="49">
        <f t="shared" si="0"/>
        <v>4662.95647</v>
      </c>
      <c r="G18" s="49">
        <f>5460.56683+97</f>
        <v>5557.56683</v>
      </c>
      <c r="H18" s="49">
        <f t="shared" si="1"/>
        <v>-894.6103599999997</v>
      </c>
      <c r="I18" s="49">
        <f t="shared" si="3"/>
        <v>-799.9950914999997</v>
      </c>
      <c r="J18" s="49">
        <f>(D18+E18)*0.05</f>
        <v>94.61526850000001</v>
      </c>
      <c r="K18" s="47">
        <f>IF(F18-G18&gt;0,0,IF(F18-G18&lt;0,-(J18+H18)))</f>
        <v>799.9950914999997</v>
      </c>
    </row>
    <row r="19" spans="1:11" s="1" customFormat="1" ht="18.75" customHeight="1">
      <c r="A19" s="38">
        <v>6</v>
      </c>
      <c r="B19" s="26" t="s">
        <v>25</v>
      </c>
      <c r="C19" s="49">
        <f>'[2]2015 доходы'!$X$38</f>
        <v>1744.0798799999998</v>
      </c>
      <c r="D19" s="28">
        <v>1911.67521</v>
      </c>
      <c r="E19" s="28">
        <v>143.1948</v>
      </c>
      <c r="F19" s="49">
        <f t="shared" si="0"/>
        <v>3798.94989</v>
      </c>
      <c r="G19" s="49">
        <f>5675.32935+49</f>
        <v>5724.32935</v>
      </c>
      <c r="H19" s="49">
        <f t="shared" si="1"/>
        <v>-1925.37946</v>
      </c>
      <c r="I19" s="49">
        <f t="shared" si="3"/>
        <v>-1719.8924590000001</v>
      </c>
      <c r="J19" s="49">
        <f>(D19+E19)*0.1</f>
        <v>205.48700100000002</v>
      </c>
      <c r="K19" s="47">
        <f t="shared" si="2"/>
        <v>1719.8924590000001</v>
      </c>
    </row>
    <row r="20" spans="1:11" s="1" customFormat="1" ht="18.75" customHeight="1">
      <c r="A20" s="38">
        <v>7</v>
      </c>
      <c r="B20" s="26" t="s">
        <v>26</v>
      </c>
      <c r="C20" s="49">
        <f>'[2]2015 доходы'!$AA$38</f>
        <v>2566.33771</v>
      </c>
      <c r="D20" s="28">
        <v>1903.52276</v>
      </c>
      <c r="E20" s="28">
        <v>132.24</v>
      </c>
      <c r="F20" s="49">
        <f t="shared" si="0"/>
        <v>4602.100469999999</v>
      </c>
      <c r="G20" s="49">
        <f>4968.35541+127</f>
        <v>5095.35541</v>
      </c>
      <c r="H20" s="49">
        <f t="shared" si="1"/>
        <v>-493.2549400000007</v>
      </c>
      <c r="I20" s="49">
        <f t="shared" si="3"/>
        <v>-289.6786640000007</v>
      </c>
      <c r="J20" s="49">
        <f>(D20+E20)*0.1</f>
        <v>203.576276</v>
      </c>
      <c r="K20" s="48">
        <f>IF(F20-G20&gt;0,0,IF(F20-G20&lt;0,-(J20+H20)))</f>
        <v>289.6786640000007</v>
      </c>
    </row>
    <row r="21" spans="1:11" s="1" customFormat="1" ht="18.75" customHeight="1">
      <c r="A21" s="38">
        <v>8</v>
      </c>
      <c r="B21" s="26" t="s">
        <v>27</v>
      </c>
      <c r="C21" s="49">
        <f>'[2]2015 доходы'!$AD$38</f>
        <v>1452.60046</v>
      </c>
      <c r="D21" s="28">
        <v>1596.42142</v>
      </c>
      <c r="E21" s="28">
        <v>37.972</v>
      </c>
      <c r="F21" s="49">
        <f t="shared" si="0"/>
        <v>3086.9938800000004</v>
      </c>
      <c r="G21" s="49">
        <f>3616.96151-218</f>
        <v>3398.96151</v>
      </c>
      <c r="H21" s="49">
        <f t="shared" si="1"/>
        <v>-311.96762999999964</v>
      </c>
      <c r="I21" s="49">
        <f t="shared" si="3"/>
        <v>-230.24795899999964</v>
      </c>
      <c r="J21" s="49">
        <f>(D21+E21)*0.05</f>
        <v>81.719671</v>
      </c>
      <c r="K21" s="47">
        <f t="shared" si="2"/>
        <v>230.24795899999964</v>
      </c>
    </row>
    <row r="22" spans="1:11" s="1" customFormat="1" ht="18.75" customHeight="1">
      <c r="A22" s="38">
        <v>9</v>
      </c>
      <c r="B22" s="26" t="s">
        <v>28</v>
      </c>
      <c r="C22" s="49">
        <f>'[2]2015 доходы'!$AG$38</f>
        <v>2147.56682</v>
      </c>
      <c r="D22" s="28">
        <v>961.55296</v>
      </c>
      <c r="E22" s="28">
        <v>17.54</v>
      </c>
      <c r="F22" s="49">
        <f t="shared" si="0"/>
        <v>3126.65978</v>
      </c>
      <c r="G22" s="49">
        <f>3492.24577-167</f>
        <v>3325.24577</v>
      </c>
      <c r="H22" s="49">
        <f t="shared" si="1"/>
        <v>-198.58599000000004</v>
      </c>
      <c r="I22" s="49">
        <f t="shared" si="3"/>
        <v>-149.63134200000005</v>
      </c>
      <c r="J22" s="49">
        <f>(D22+E22)*0.05</f>
        <v>48.954648</v>
      </c>
      <c r="K22" s="47">
        <f t="shared" si="2"/>
        <v>149.63134200000005</v>
      </c>
    </row>
    <row r="23" spans="1:11" s="1" customFormat="1" ht="18.75" customHeight="1">
      <c r="A23" s="38">
        <v>10</v>
      </c>
      <c r="B23" s="26" t="s">
        <v>29</v>
      </c>
      <c r="C23" s="49">
        <f>'[2]2015 доходы'!$AJ$38</f>
        <v>1560.7863699999998</v>
      </c>
      <c r="D23" s="28">
        <v>909.21264</v>
      </c>
      <c r="E23" s="28">
        <v>195.502</v>
      </c>
      <c r="F23" s="49">
        <f t="shared" si="0"/>
        <v>2665.5010099999995</v>
      </c>
      <c r="G23" s="49">
        <f>3701.12343+320</f>
        <v>4021.12343</v>
      </c>
      <c r="H23" s="49">
        <f t="shared" si="1"/>
        <v>-1355.6224200000006</v>
      </c>
      <c r="I23" s="49">
        <f t="shared" si="3"/>
        <v>-1300.3866880000005</v>
      </c>
      <c r="J23" s="49">
        <f>(D23+E23)*0.05</f>
        <v>55.235732</v>
      </c>
      <c r="K23" s="47">
        <f t="shared" si="2"/>
        <v>1300.3866880000005</v>
      </c>
    </row>
    <row r="24" spans="1:11" s="1" customFormat="1" ht="18.75" customHeight="1">
      <c r="A24" s="38">
        <v>11</v>
      </c>
      <c r="B24" s="26" t="s">
        <v>30</v>
      </c>
      <c r="C24" s="49">
        <f>'[2]2015 доходы'!$AM$38</f>
        <v>2140.55503</v>
      </c>
      <c r="D24" s="28">
        <v>1488.26404</v>
      </c>
      <c r="E24" s="28">
        <v>227.116</v>
      </c>
      <c r="F24" s="49">
        <f t="shared" si="0"/>
        <v>3855.93507</v>
      </c>
      <c r="G24" s="49">
        <f>6193.45074-396</f>
        <v>5797.45074</v>
      </c>
      <c r="H24" s="49">
        <f t="shared" si="1"/>
        <v>-1941.5156700000002</v>
      </c>
      <c r="I24" s="49">
        <f>J24+H24</f>
        <v>-1769.9776660000002</v>
      </c>
      <c r="J24" s="49">
        <f>(D24+E24)*0.1</f>
        <v>171.538004</v>
      </c>
      <c r="K24" s="47">
        <f t="shared" si="2"/>
        <v>1769.9776660000002</v>
      </c>
    </row>
    <row r="25" spans="1:11" s="1" customFormat="1" ht="18.75" customHeight="1">
      <c r="A25" s="38">
        <v>12</v>
      </c>
      <c r="B25" s="26" t="s">
        <v>31</v>
      </c>
      <c r="C25" s="49">
        <f>'[2]2015 доходы'!$AP$38</f>
        <v>1251.69162</v>
      </c>
      <c r="D25" s="28">
        <v>745.22866</v>
      </c>
      <c r="E25" s="28">
        <v>17.76281</v>
      </c>
      <c r="F25" s="49">
        <f t="shared" si="0"/>
        <v>2014.68309</v>
      </c>
      <c r="G25" s="49">
        <f>2020.20222+191</f>
        <v>2211.20222</v>
      </c>
      <c r="H25" s="49">
        <f t="shared" si="1"/>
        <v>-196.51913000000013</v>
      </c>
      <c r="I25" s="49">
        <f t="shared" si="3"/>
        <v>-120.21998300000014</v>
      </c>
      <c r="J25" s="49">
        <f>(D25+E25)*0.1</f>
        <v>76.29914699999999</v>
      </c>
      <c r="K25" s="47">
        <f t="shared" si="2"/>
        <v>120.21998300000014</v>
      </c>
    </row>
    <row r="26" spans="1:11" s="1" customFormat="1" ht="18.75" customHeight="1">
      <c r="A26" s="38">
        <v>13</v>
      </c>
      <c r="B26" s="26" t="s">
        <v>32</v>
      </c>
      <c r="C26" s="49">
        <f>'[2]2015 доходы'!$AS$38</f>
        <v>3132.5528299999996</v>
      </c>
      <c r="D26" s="28">
        <v>1653.65152</v>
      </c>
      <c r="E26" s="28">
        <v>110.1176</v>
      </c>
      <c r="F26" s="49">
        <f t="shared" si="0"/>
        <v>4896.32195</v>
      </c>
      <c r="G26" s="49">
        <f>5659.02246-375</f>
        <v>5284.02246</v>
      </c>
      <c r="H26" s="49">
        <f t="shared" si="1"/>
        <v>-387.7005100000006</v>
      </c>
      <c r="I26" s="49">
        <f t="shared" si="3"/>
        <v>-299.5120540000006</v>
      </c>
      <c r="J26" s="49">
        <f>(D26+E26)*0.05</f>
        <v>88.188456</v>
      </c>
      <c r="K26" s="47">
        <f t="shared" si="2"/>
        <v>299.5120540000006</v>
      </c>
    </row>
    <row r="27" spans="1:11" s="1" customFormat="1" ht="18.75" customHeight="1">
      <c r="A27" s="38">
        <v>14</v>
      </c>
      <c r="B27" s="26" t="s">
        <v>33</v>
      </c>
      <c r="C27" s="49">
        <f>'[2]2015 доходы'!$AV$38</f>
        <v>6793.07781</v>
      </c>
      <c r="D27" s="28">
        <v>19689.66697</v>
      </c>
      <c r="E27" s="28">
        <v>559.39</v>
      </c>
      <c r="F27" s="49">
        <f t="shared" si="0"/>
        <v>27042.134779999997</v>
      </c>
      <c r="G27" s="49">
        <f>33567.77485+997</f>
        <v>34564.77485</v>
      </c>
      <c r="H27" s="49">
        <f t="shared" si="1"/>
        <v>-7522.640070000005</v>
      </c>
      <c r="I27" s="49">
        <f t="shared" si="3"/>
        <v>-6510.187221500005</v>
      </c>
      <c r="J27" s="49">
        <f>(D27+E27)*0.05</f>
        <v>1012.4528485</v>
      </c>
      <c r="K27" s="47">
        <f t="shared" si="2"/>
        <v>6510.187221500005</v>
      </c>
    </row>
    <row r="28" spans="1:11" s="1" customFormat="1" ht="18.75" customHeight="1">
      <c r="A28" s="38">
        <v>15</v>
      </c>
      <c r="B28" s="26" t="s">
        <v>34</v>
      </c>
      <c r="C28" s="49">
        <f>'[2]2015 доходы'!$AY$38</f>
        <v>3490.76054</v>
      </c>
      <c r="D28" s="28">
        <v>5039.65179</v>
      </c>
      <c r="E28" s="28">
        <v>305.94</v>
      </c>
      <c r="F28" s="49">
        <f t="shared" si="0"/>
        <v>8836.35233</v>
      </c>
      <c r="G28" s="49">
        <f>9282.75218+88</f>
        <v>9370.75218</v>
      </c>
      <c r="H28" s="49">
        <f t="shared" si="1"/>
        <v>-534.3998499999998</v>
      </c>
      <c r="I28" s="49">
        <f t="shared" si="3"/>
        <v>0.15932900000018435</v>
      </c>
      <c r="J28" s="49">
        <f>(D28+E28)*0.1</f>
        <v>534.559179</v>
      </c>
      <c r="K28" s="47">
        <f t="shared" si="2"/>
        <v>-0.15932900000018435</v>
      </c>
    </row>
    <row r="29" spans="1:11" s="1" customFormat="1" ht="18.75" customHeight="1">
      <c r="A29" s="38">
        <v>16</v>
      </c>
      <c r="B29" s="26" t="s">
        <v>35</v>
      </c>
      <c r="C29" s="49">
        <f>'[2]2015 доходы'!$BB$38</f>
        <v>6989.46506</v>
      </c>
      <c r="D29" s="28">
        <v>6773.91962</v>
      </c>
      <c r="E29" s="28">
        <v>708.494</v>
      </c>
      <c r="F29" s="49">
        <f t="shared" si="0"/>
        <v>14471.87868</v>
      </c>
      <c r="G29" s="49">
        <f>14168.48652+61</f>
        <v>14229.48652</v>
      </c>
      <c r="H29" s="49">
        <f t="shared" si="1"/>
        <v>242.39215999999942</v>
      </c>
      <c r="I29" s="49">
        <f t="shared" si="3"/>
        <v>616.5128409999994</v>
      </c>
      <c r="J29" s="49">
        <f>(D29+E29)*0.05</f>
        <v>374.120681</v>
      </c>
      <c r="K29" s="47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49">
        <f>'[2]2015 доходы'!$BH$38</f>
        <v>2148.07563</v>
      </c>
      <c r="D30" s="28">
        <v>1863.87428</v>
      </c>
      <c r="E30" s="28">
        <v>197.53</v>
      </c>
      <c r="F30" s="49">
        <f t="shared" si="0"/>
        <v>4209.47991</v>
      </c>
      <c r="G30" s="49">
        <f>5394.44323+61</f>
        <v>5455.44323</v>
      </c>
      <c r="H30" s="49">
        <f t="shared" si="1"/>
        <v>-1245.9633199999998</v>
      </c>
      <c r="I30" s="49">
        <f t="shared" si="3"/>
        <v>-1039.8228919999997</v>
      </c>
      <c r="J30" s="49">
        <f>(D30+E30)*0.1</f>
        <v>206.14042800000004</v>
      </c>
      <c r="K30" s="47">
        <f t="shared" si="2"/>
        <v>1039.8228919999997</v>
      </c>
    </row>
    <row r="31" spans="1:11" ht="23.25" customHeight="1">
      <c r="A31" s="39"/>
      <c r="B31" s="46" t="s">
        <v>62</v>
      </c>
      <c r="C31" s="50">
        <f>SUM(C14:C30)</f>
        <v>51253.00000000001</v>
      </c>
      <c r="D31" s="50">
        <f aca="true" t="shared" si="4" ref="D31:J31">SUM(D14:D30)</f>
        <v>84855.43482000001</v>
      </c>
      <c r="E31" s="50">
        <f>SUM(E14:E30)</f>
        <v>8359.2457</v>
      </c>
      <c r="F31" s="50">
        <f>SUM(F14:F30)</f>
        <v>144467.68052</v>
      </c>
      <c r="G31" s="50">
        <f>SUM(G14:G30)</f>
        <v>166695.59792000003</v>
      </c>
      <c r="H31" s="50">
        <f t="shared" si="4"/>
        <v>-22227.9174</v>
      </c>
      <c r="I31" s="50">
        <f t="shared" si="4"/>
        <v>-14713.102632999999</v>
      </c>
      <c r="J31" s="50">
        <f t="shared" si="4"/>
        <v>7514.814767</v>
      </c>
      <c r="K31" s="50">
        <f>SUM(K14:K30)</f>
        <v>15329.615473999998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2015-09-07T13:37:46Z</cp:lastPrinted>
  <dcterms:created xsi:type="dcterms:W3CDTF">1998-09-07T09:31:30Z</dcterms:created>
  <dcterms:modified xsi:type="dcterms:W3CDTF">2015-09-11T09:29:01Z</dcterms:modified>
  <cp:category/>
  <cp:version/>
  <cp:contentType/>
  <cp:contentStatus/>
</cp:coreProperties>
</file>